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steixeira\Desktop\Nova pasta (2)\"/>
    </mc:Choice>
  </mc:AlternateContent>
  <bookViews>
    <workbookView xWindow="0" yWindow="0" windowWidth="23955" windowHeight="8760"/>
  </bookViews>
  <sheets>
    <sheet name="Equipamentos" sheetId="1" r:id="rId1"/>
    <sheet name="MAPA DE ANÁLISE" sheetId="2"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 i="1" l="1"/>
  <c r="F7" i="1"/>
  <c r="G6" i="1"/>
  <c r="Q10" i="2"/>
  <c r="O10" i="2"/>
  <c r="N10" i="2"/>
  <c r="M10" i="2"/>
  <c r="K10" i="2"/>
  <c r="S10" i="2" s="1"/>
  <c r="R10" i="2" s="1"/>
  <c r="J10" i="2"/>
  <c r="Q9" i="2"/>
  <c r="I9" i="2"/>
  <c r="H9" i="2"/>
  <c r="S9" i="2" s="1"/>
  <c r="R9" i="2" s="1"/>
  <c r="Q8" i="2"/>
  <c r="M8" i="2"/>
  <c r="K8" i="2"/>
  <c r="J8" i="2"/>
  <c r="S8" i="2" s="1"/>
  <c r="R8" i="2" s="1"/>
  <c r="Q7" i="2"/>
  <c r="M7" i="2"/>
  <c r="L7" i="2"/>
  <c r="S7" i="2" s="1"/>
  <c r="R7" i="2" s="1"/>
  <c r="P6" i="2"/>
  <c r="S6" i="2" s="1"/>
  <c r="M6" i="2"/>
  <c r="S11" i="2" l="1"/>
  <c r="R6" i="2"/>
  <c r="F10" i="1"/>
  <c r="G10" i="1" s="1"/>
  <c r="H10" i="1" s="1"/>
  <c r="F9" i="1"/>
  <c r="G9" i="1" s="1"/>
  <c r="H9" i="1" s="1"/>
  <c r="F8" i="1"/>
  <c r="G8" i="1" s="1"/>
  <c r="H8" i="1" s="1"/>
  <c r="G7" i="1"/>
  <c r="H7" i="1" s="1"/>
  <c r="F6" i="1"/>
  <c r="H6" i="1" s="1"/>
  <c r="H11" i="1" l="1"/>
</calcChain>
</file>

<file path=xl/comments1.xml><?xml version="1.0" encoding="utf-8"?>
<comments xmlns="http://schemas.openxmlformats.org/spreadsheetml/2006/main">
  <authors>
    <author>PGJ MG</author>
  </authors>
  <commentList>
    <comment ref="H13" authorId="0" shapeId="0">
      <text>
        <r>
          <rPr>
            <b/>
            <sz val="9"/>
            <color indexed="81"/>
            <rFont val="Tahoma"/>
            <family val="2"/>
          </rPr>
          <t>PGJ MG:</t>
        </r>
        <r>
          <rPr>
            <sz val="9"/>
            <color indexed="81"/>
            <rFont val="Tahoma"/>
            <family val="2"/>
          </rPr>
          <t xml:space="preserve">
de acordo com contrato anterior com 105 vigilantes</t>
        </r>
      </text>
    </comment>
  </commentList>
</comments>
</file>

<file path=xl/sharedStrings.xml><?xml version="1.0" encoding="utf-8"?>
<sst xmlns="http://schemas.openxmlformats.org/spreadsheetml/2006/main" count="79" uniqueCount="44">
  <si>
    <t>ORDEM</t>
  </si>
  <si>
    <t>QUANTIDADE COTADA</t>
  </si>
  <si>
    <t>CÓDIGO SIAD</t>
  </si>
  <si>
    <t>DESCRIÇÃO*</t>
  </si>
  <si>
    <t>PREÇO MÁXIMO TOTAL (R$)</t>
  </si>
  <si>
    <t>PREÇO MÁXIMO - UNIDADE (R$)</t>
  </si>
  <si>
    <t>VALOR MÁXIMO - DEPRECIAÇÃO MENSAL - UNIDADE (R$)</t>
  </si>
  <si>
    <t>VALOR DEPRECIAÇÃO ANUAL - POR TIPO DE EQUIPAMENTO (R$)</t>
  </si>
  <si>
    <t>MUNIÇÃO REAL - TIPO: CBC; CALIBRE: .38; CARGA: SPL EXPO 158G</t>
  </si>
  <si>
    <t>-</t>
  </si>
  <si>
    <t xml:space="preserve">PLACA METÁLICA (BALÍSTICA) </t>
  </si>
  <si>
    <t>REVÓLVER CALIBRE 38</t>
  </si>
  <si>
    <t xml:space="preserve">VIGIA BASTÃO </t>
  </si>
  <si>
    <t>BASTÃO TIPO TONFA</t>
  </si>
  <si>
    <t>TOTAL ANUAL POR POSTO DE VIGILANTE</t>
  </si>
  <si>
    <t>QUANTIDADE DE VIGILANTES</t>
  </si>
  <si>
    <t>TOTAL UNITÁRIO POR VIGILANTE - VALOR MENSAL</t>
  </si>
  <si>
    <t>*Relação de equipamentos por posto de vigilância</t>
  </si>
  <si>
    <t>APENSO VII - Planilha de Estimativa de Preços de Equipamentos - Depreciação Mensal</t>
  </si>
  <si>
    <t xml:space="preserve">             MAPA DE ANÁLISE     - Itens para Vigilantes            Data de emissão original : 31/10/2016</t>
  </si>
  <si>
    <t>QUANT</t>
  </si>
  <si>
    <t>DESCRIÇÃO</t>
  </si>
  <si>
    <t>FORNECEDORES</t>
  </si>
  <si>
    <t>PREÇO MÉDIO UNITÁRIO</t>
  </si>
  <si>
    <t>PREÇO MÉDIO TOTAL</t>
  </si>
  <si>
    <t>INTERNET</t>
  </si>
  <si>
    <t>BÚFLO COM. DE ARMAS E MUNIÇÕES LTDA</t>
  </si>
  <si>
    <t>GLÁGIO DO BRASIL LTDA</t>
  </si>
  <si>
    <t>JOSE G B S DA SILVA - ME</t>
  </si>
  <si>
    <t>CRIAÇÕES SONELY BH</t>
  </si>
  <si>
    <t>BÉLICA ARTIGOS MILITARES</t>
  </si>
  <si>
    <t>Melhores Preços</t>
  </si>
  <si>
    <t>COTAÇÃO ZÊNITE</t>
  </si>
  <si>
    <t>EXTRA</t>
  </si>
  <si>
    <t>TOTALSEG</t>
  </si>
  <si>
    <t>CASA DO TIRO</t>
  </si>
  <si>
    <t>PLACA METÁLICA (BALÍSTICA) Equipamento que possua proteção simultânea contra perfuração de projéteis de armas de fogo e objetos armas e instrumentos perfurantes, pontiagudos. Deve obedecer às Normas de regulamentação do Ministério da Defesa, de acordo com Norma Padrão NIJ, Standard 0101.04, no que diz respeito às normas de balística, para no mínimo o nível de proteção II. Confeccionado em material de qualidade que ofereça proteção balística, que agirá não somente na paralisação da trajetória do projétil impactado contra o colete, mas também na perfeita absorção das ondas de choque resultantes. Deve possuir no mínimo de nível de proteção de balística de nível II, que requisita disparos de projéteis de armas de fogo, até calibre .357 Magnum JSP e 9mm FMJ, conforme Normas Regulamentadoras da Fabricação, Aquisição e Venda de Coletes à Prova de Projéteis aprovadas pela Portaria nº 18 - D LOG do Exército Brasileiro, com proteção simultânea contra arma e objetos pontiagudos, perfurantes, facas, canivetes, estoques, estiletes e etc, com energia de impacto E1 igual a 33 joules + ou - 0,60 e E2 igual a 50 joules +ou - 0,70, no mínimo de acordo com o nível 02 da Norma NIJ 0115.00 - mínimo de nível de proteção de II. Proteção contra umidade, sem perda de grau de proteção adequada para qual foi projetada.</t>
  </si>
  <si>
    <t>REVÓLVER CALIBRE 38 Arma de fogo tipo revólver de repetição, calibre .38, cano de 4 polegadas, coronha de borracha com fixador de fiel, acabamento oxidável, tambor de 06 ou 05 tiros, peso aproximado de 1,015kg, comprimento aproximado de total de 237mm, sistema de segurança contra disparo acidental por barra de percussão, mira fixa/massa em rampa serrilhada. Deverá ser apresentada à Administração a relação de armas e cópias autenticadas dos respectivos registros de arma e porte de arma, que serão utilizados pelos vigilantes</t>
  </si>
  <si>
    <t>VIGIA BASTÃO - Aparelho de monitoramento de rondas de vigilantes com comunicação USB, alta resistência mecânica, leitura dos i-buttons por contato, capacidade de mais de 4000 registros, sem quantidade limite para cadastramento de i-buttons, usuários e rotas, possibilidade de coleta de registros já coletados, software para coleta de registros e controle de rondas fornecido com o aparelho. Tipo Henry ou similar</t>
  </si>
  <si>
    <t>1344307</t>
  </si>
  <si>
    <t>BASTÃO TIPO TONFA Bastão  perseguidor tipo tonfa, aplicação uso policial militar ou segurança privada, material de fibra plástica extrusada ou em fibra de carbono, com capacidade de absorção de impactos, flexível e resistente para todos os lados com furo redondo, próximo à parte sulcosa, para a união ao cabo, com função de absorção de impactos, com ponteiras arredondadas e sem rebarbas. Cabo em formato anatômico, com pino e engate para fixar na haste, proporcionando conforto e melhor firmeza na empunhadura. Cor preta, tamanho haste de comprimento de mínimo de 70cm, diâmetro máximo de 32 mm, cabo comprimento entre 120 e 130mm</t>
  </si>
  <si>
    <t>Outros fornecedores consultados que não responderam à consulta: Mitrax (11)2532 9270/Paulo; Cia Brasileira de Cartuchos (51) 3883 8000/Ginesa; Sociedade Meridional(31) 3313 2080/99173 8947/Mauro; Protecta (11) 4634 4810/Eduardo Gomes; Forte do Brasil (61) 3347 0113/Ediene; Defencer (41) 3252 3511/Emanuel; Sniper (71) 3334 7659/Daniel; Marco Ponto (31) 3422 0200/David; JSR (31)3595 4393/98893 4393/Roger; Taurus (41)3626 8000; Premierseg (11)2304 7798</t>
  </si>
  <si>
    <t>TOTAL</t>
  </si>
  <si>
    <t>(a) NAÕ UTILIZAR * Atualização de valores com base na variação do IPCA/IBGE de novembro/2016 a abril/2017, conforme índice informado pela Diretoria de Orçamento (1,5902%)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</si>
</sst>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_(* #,##0_);_(* \(#,##0\);_(* &quot;-&quot;??_);_(@_)"/>
  </numFmts>
  <fonts count="13" x14ac:knownFonts="1">
    <font>
      <sz val="11"/>
      <color theme="1"/>
      <name val="Calibri"/>
      <family val="2"/>
      <scheme val="minor"/>
    </font>
    <font>
      <sz val="11"/>
      <color theme="1"/>
      <name val="Calibri"/>
      <family val="2"/>
      <scheme val="minor"/>
    </font>
    <font>
      <b/>
      <sz val="10"/>
      <name val="Calibri"/>
      <family val="2"/>
      <scheme val="minor"/>
    </font>
    <font>
      <sz val="10"/>
      <name val="Calibri"/>
      <family val="2"/>
      <scheme val="minor"/>
    </font>
    <font>
      <sz val="8"/>
      <name val="Arial"/>
      <family val="2"/>
    </font>
    <font>
      <sz val="10"/>
      <name val="Arial"/>
      <family val="2"/>
    </font>
    <font>
      <b/>
      <sz val="9"/>
      <color indexed="81"/>
      <name val="Tahoma"/>
      <family val="2"/>
    </font>
    <font>
      <sz val="9"/>
      <color indexed="81"/>
      <name val="Tahoma"/>
      <family val="2"/>
    </font>
    <font>
      <sz val="11"/>
      <name val="Arial"/>
      <family val="2"/>
    </font>
    <font>
      <sz val="7"/>
      <name val="Arial"/>
      <family val="2"/>
    </font>
    <font>
      <sz val="9"/>
      <name val="Arial"/>
      <family val="2"/>
    </font>
    <font>
      <u/>
      <sz val="10"/>
      <color theme="10"/>
      <name val="Arial"/>
      <family val="2"/>
    </font>
    <font>
      <b/>
      <sz val="8"/>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indexed="9"/>
        <bgColor indexed="26"/>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164" fontId="5" fillId="0" borderId="0" applyFont="0" applyFill="0" applyBorder="0" applyAlignment="0" applyProtection="0"/>
    <xf numFmtId="0" fontId="11" fillId="0" borderId="0" applyNumberFormat="0" applyFill="0" applyBorder="0" applyAlignment="0" applyProtection="0"/>
  </cellStyleXfs>
  <cellXfs count="45">
    <xf numFmtId="0" fontId="0" fillId="0" borderId="0" xfId="0"/>
    <xf numFmtId="3" fontId="3"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xf>
    <xf numFmtId="1" fontId="3" fillId="0" borderId="1" xfId="0" applyNumberFormat="1" applyFont="1" applyBorder="1" applyAlignment="1">
      <alignment horizontal="center" vertical="center" wrapText="1"/>
    </xf>
    <xf numFmtId="0" fontId="3" fillId="0" borderId="1" xfId="0" applyFont="1" applyBorder="1" applyAlignment="1">
      <alignment horizontal="justify" vertical="center"/>
    </xf>
    <xf numFmtId="164" fontId="3" fillId="0" borderId="1" xfId="2" applyFont="1" applyFill="1" applyBorder="1" applyAlignment="1" applyProtection="1">
      <alignment horizontal="center" vertical="center"/>
      <protection locked="0"/>
    </xf>
    <xf numFmtId="1" fontId="4" fillId="0" borderId="1" xfId="0" applyNumberFormat="1" applyFont="1" applyBorder="1" applyAlignment="1">
      <alignment horizontal="center" vertical="center"/>
    </xf>
    <xf numFmtId="1" fontId="3" fillId="0" borderId="1" xfId="1" applyNumberFormat="1" applyFont="1" applyBorder="1" applyAlignment="1">
      <alignment horizontal="center" vertical="center" wrapText="1"/>
    </xf>
    <xf numFmtId="0" fontId="2" fillId="2" borderId="1" xfId="0" applyFont="1" applyFill="1" applyBorder="1" applyAlignment="1">
      <alignment horizontal="center" vertical="center" wrapText="1"/>
    </xf>
    <xf numFmtId="164" fontId="2" fillId="2" borderId="1" xfId="2" applyFont="1" applyFill="1" applyBorder="1" applyAlignment="1" applyProtection="1">
      <alignment horizontal="center" vertical="center"/>
      <protection locked="0"/>
    </xf>
    <xf numFmtId="165" fontId="2" fillId="2" borderId="1" xfId="2" applyNumberFormat="1" applyFont="1" applyFill="1" applyBorder="1" applyAlignment="1" applyProtection="1">
      <alignment horizontal="center" vertical="center"/>
      <protection locked="0"/>
    </xf>
    <xf numFmtId="0" fontId="4" fillId="0" borderId="1" xfId="0" applyFont="1" applyBorder="1" applyAlignment="1">
      <alignment horizontal="center" vertical="center" wrapText="1"/>
    </xf>
    <xf numFmtId="0" fontId="4" fillId="0" borderId="1" xfId="3"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4" fontId="4" fillId="0" borderId="1" xfId="0" applyNumberFormat="1" applyFont="1" applyBorder="1" applyAlignment="1" applyProtection="1">
      <alignment horizontal="center" vertical="center"/>
      <protection locked="0"/>
    </xf>
    <xf numFmtId="4" fontId="4" fillId="3" borderId="1" xfId="0" applyNumberFormat="1" applyFont="1" applyFill="1" applyBorder="1" applyAlignment="1" applyProtection="1">
      <alignment horizontal="center" vertical="center"/>
      <protection locked="0"/>
    </xf>
    <xf numFmtId="4" fontId="4" fillId="0" borderId="1" xfId="0" applyNumberFormat="1" applyFont="1" applyBorder="1" applyAlignment="1" applyProtection="1">
      <alignment horizontal="center" vertical="center" wrapText="1"/>
      <protection locked="0"/>
    </xf>
    <xf numFmtId="4" fontId="4" fillId="0" borderId="1" xfId="0" applyNumberFormat="1" applyFont="1" applyBorder="1" applyAlignment="1">
      <alignment horizontal="center" vertical="center"/>
    </xf>
    <xf numFmtId="4" fontId="4" fillId="0" borderId="1" xfId="0" applyNumberFormat="1" applyFont="1" applyBorder="1" applyAlignment="1">
      <alignment horizontal="left" vertical="center" wrapText="1"/>
    </xf>
    <xf numFmtId="4" fontId="4" fillId="0" borderId="1" xfId="0" applyNumberFormat="1" applyFont="1" applyBorder="1" applyAlignment="1">
      <alignment horizontal="justify" vertical="top" wrapText="1"/>
    </xf>
    <xf numFmtId="4" fontId="4" fillId="3" borderId="1" xfId="0" applyNumberFormat="1" applyFont="1" applyFill="1" applyBorder="1" applyAlignment="1" applyProtection="1">
      <alignment horizontal="center" vertical="center" wrapText="1"/>
      <protection locked="0"/>
    </xf>
    <xf numFmtId="4" fontId="4" fillId="4" borderId="1" xfId="0" applyNumberFormat="1" applyFont="1" applyFill="1" applyBorder="1" applyAlignment="1" applyProtection="1">
      <alignment horizontal="left" vertical="top" wrapText="1"/>
      <protection locked="0"/>
    </xf>
    <xf numFmtId="4" fontId="12" fillId="4" borderId="1" xfId="0" applyNumberFormat="1" applyFont="1" applyFill="1" applyBorder="1" applyAlignment="1" applyProtection="1">
      <alignment horizontal="center" vertical="center"/>
      <protection locked="0"/>
    </xf>
    <xf numFmtId="4" fontId="12" fillId="0" borderId="1" xfId="1" applyNumberFormat="1" applyFont="1" applyFill="1" applyBorder="1" applyAlignment="1" applyProtection="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 xfId="0" applyFont="1" applyFill="1" applyBorder="1" applyAlignment="1">
      <alignment horizontal="center" vertical="center"/>
    </xf>
    <xf numFmtId="3" fontId="3" fillId="0" borderId="1" xfId="0" applyNumberFormat="1" applyFont="1" applyBorder="1" applyAlignment="1">
      <alignment horizontal="left" vertical="center" wrapText="1"/>
    </xf>
    <xf numFmtId="4" fontId="4" fillId="0" borderId="1" xfId="0" applyNumberFormat="1" applyFont="1" applyBorder="1" applyAlignment="1">
      <alignment horizontal="center" vertical="center"/>
    </xf>
    <xf numFmtId="0" fontId="4" fillId="0" borderId="1" xfId="0" applyFont="1" applyBorder="1" applyAlignment="1">
      <alignment horizontal="left" vertical="justify" wrapText="1"/>
    </xf>
    <xf numFmtId="4" fontId="4" fillId="0" borderId="1" xfId="0" applyNumberFormat="1" applyFont="1" applyBorder="1" applyAlignment="1">
      <alignment horizontal="left" vertical="justify" wrapText="1"/>
    </xf>
    <xf numFmtId="4" fontId="4" fillId="4" borderId="1" xfId="0" applyNumberFormat="1" applyFont="1" applyFill="1" applyBorder="1" applyAlignment="1" applyProtection="1">
      <alignment horizontal="left" vertical="top" wrapText="1"/>
      <protection locked="0"/>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8" fillId="0" borderId="2" xfId="0" applyFont="1" applyBorder="1" applyAlignment="1">
      <alignment horizontal="center"/>
    </xf>
    <xf numFmtId="0" fontId="8" fillId="0" borderId="3" xfId="0" applyFont="1" applyBorder="1" applyAlignment="1">
      <alignment horizontal="center"/>
    </xf>
    <xf numFmtId="0" fontId="4"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xf>
  </cellXfs>
  <cellStyles count="4">
    <cellStyle name="Hiperlink" xfId="3" builtinId="8"/>
    <cellStyle name="Normal" xfId="0" builtinId="0"/>
    <cellStyle name="Separador de milhares 21" xfId="2"/>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666750</xdr:colOff>
      <xdr:row>0</xdr:row>
      <xdr:rowOff>742950</xdr:rowOff>
    </xdr:to>
    <xdr:pic>
      <xdr:nvPicPr>
        <xdr:cNvPr id="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600325" cy="742950"/>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4"/>
  <sheetViews>
    <sheetView tabSelected="1" view="pageBreakPreview" zoomScaleNormal="100" zoomScaleSheetLayoutView="100" workbookViewId="0">
      <selection activeCell="D20" sqref="D20"/>
    </sheetView>
  </sheetViews>
  <sheetFormatPr defaultRowHeight="15" x14ac:dyDescent="0.25"/>
  <cols>
    <col min="1" max="1" width="8.140625" customWidth="1"/>
    <col min="2" max="2" width="12.42578125" customWidth="1"/>
    <col min="3" max="3" width="8.42578125" customWidth="1"/>
    <col min="4" max="4" width="57.140625" customWidth="1"/>
    <col min="5" max="5" width="15" customWidth="1"/>
    <col min="6" max="6" width="16.85546875" customWidth="1"/>
    <col min="7" max="7" width="20.85546875" customWidth="1"/>
    <col min="8" max="8" width="23.140625" customWidth="1"/>
  </cols>
  <sheetData>
    <row r="1" spans="1:8" ht="60" customHeight="1" x14ac:dyDescent="0.25"/>
    <row r="2" spans="1:8" x14ac:dyDescent="0.25">
      <c r="A2" s="27" t="s">
        <v>18</v>
      </c>
      <c r="B2" s="27"/>
      <c r="C2" s="27"/>
      <c r="D2" s="27"/>
      <c r="E2" s="27"/>
      <c r="F2" s="27"/>
      <c r="G2" s="27"/>
      <c r="H2" s="27"/>
    </row>
    <row r="3" spans="1:8" x14ac:dyDescent="0.25">
      <c r="A3" s="27"/>
      <c r="B3" s="27"/>
      <c r="C3" s="27"/>
      <c r="D3" s="27"/>
      <c r="E3" s="27"/>
      <c r="F3" s="27"/>
      <c r="G3" s="27"/>
      <c r="H3" s="27"/>
    </row>
    <row r="4" spans="1:8" x14ac:dyDescent="0.25">
      <c r="A4" s="27"/>
      <c r="B4" s="27"/>
      <c r="C4" s="27"/>
      <c r="D4" s="27"/>
      <c r="E4" s="27"/>
      <c r="F4" s="27"/>
      <c r="G4" s="27"/>
      <c r="H4" s="27"/>
    </row>
    <row r="5" spans="1:8" ht="38.25" x14ac:dyDescent="0.25">
      <c r="A5" s="8" t="s">
        <v>0</v>
      </c>
      <c r="B5" s="8" t="s">
        <v>1</v>
      </c>
      <c r="C5" s="8" t="s">
        <v>2</v>
      </c>
      <c r="D5" s="8" t="s">
        <v>3</v>
      </c>
      <c r="E5" s="8" t="s">
        <v>4</v>
      </c>
      <c r="F5" s="8" t="s">
        <v>5</v>
      </c>
      <c r="G5" s="8" t="s">
        <v>6</v>
      </c>
      <c r="H5" s="8" t="s">
        <v>7</v>
      </c>
    </row>
    <row r="6" spans="1:8" x14ac:dyDescent="0.25">
      <c r="A6" s="1">
        <v>1</v>
      </c>
      <c r="B6" s="2">
        <v>660</v>
      </c>
      <c r="C6" s="3">
        <v>426300</v>
      </c>
      <c r="D6" s="4" t="s">
        <v>8</v>
      </c>
      <c r="E6" s="5">
        <v>2389.0383000000002</v>
      </c>
      <c r="F6" s="5">
        <f>E6/B6</f>
        <v>3.6197550000000001</v>
      </c>
      <c r="G6" s="5">
        <f>F6/60</f>
        <v>6.0329250000000001E-2</v>
      </c>
      <c r="H6" s="5">
        <f t="shared" ref="H6:H10" si="0">(B6*G6)*12</f>
        <v>477.80765999999994</v>
      </c>
    </row>
    <row r="7" spans="1:8" x14ac:dyDescent="0.25">
      <c r="A7" s="1">
        <v>2</v>
      </c>
      <c r="B7" s="6">
        <v>55</v>
      </c>
      <c r="C7" s="1" t="s">
        <v>9</v>
      </c>
      <c r="D7" s="4" t="s">
        <v>10</v>
      </c>
      <c r="E7" s="5">
        <v>127050.77256666667</v>
      </c>
      <c r="F7" s="5">
        <f t="shared" ref="F7:F9" si="1">E7/B7</f>
        <v>2310.0140466666667</v>
      </c>
      <c r="G7" s="5">
        <f t="shared" ref="G7:G10" si="2">F7/60</f>
        <v>38.500234111111112</v>
      </c>
      <c r="H7" s="5">
        <f t="shared" si="0"/>
        <v>25410.154513333335</v>
      </c>
    </row>
    <row r="8" spans="1:8" x14ac:dyDescent="0.25">
      <c r="A8" s="1">
        <v>3</v>
      </c>
      <c r="B8" s="6">
        <v>55</v>
      </c>
      <c r="C8" s="1" t="s">
        <v>9</v>
      </c>
      <c r="D8" s="4" t="s">
        <v>11</v>
      </c>
      <c r="E8" s="5">
        <v>185678.43360000002</v>
      </c>
      <c r="F8" s="5">
        <f t="shared" si="1"/>
        <v>3375.9715200000005</v>
      </c>
      <c r="G8" s="5">
        <f t="shared" si="2"/>
        <v>56.266192000000011</v>
      </c>
      <c r="H8" s="5">
        <f t="shared" si="0"/>
        <v>37135.686720000012</v>
      </c>
    </row>
    <row r="9" spans="1:8" x14ac:dyDescent="0.25">
      <c r="A9" s="1">
        <v>4</v>
      </c>
      <c r="B9" s="6">
        <v>55</v>
      </c>
      <c r="C9" s="1" t="s">
        <v>9</v>
      </c>
      <c r="D9" s="4" t="s">
        <v>12</v>
      </c>
      <c r="E9" s="5">
        <v>51490.626876333343</v>
      </c>
      <c r="F9" s="5">
        <f t="shared" si="1"/>
        <v>936.19321593333348</v>
      </c>
      <c r="G9" s="5">
        <f t="shared" si="2"/>
        <v>15.603220265555558</v>
      </c>
      <c r="H9" s="5">
        <f t="shared" si="0"/>
        <v>10298.125375266669</v>
      </c>
    </row>
    <row r="10" spans="1:8" x14ac:dyDescent="0.25">
      <c r="A10" s="1">
        <v>5</v>
      </c>
      <c r="B10" s="6">
        <v>55</v>
      </c>
      <c r="C10" s="7">
        <v>1344307</v>
      </c>
      <c r="D10" s="4" t="s">
        <v>13</v>
      </c>
      <c r="E10" s="5">
        <v>2146.36213</v>
      </c>
      <c r="F10" s="5">
        <f>E10/B10</f>
        <v>39.024766</v>
      </c>
      <c r="G10" s="5">
        <f t="shared" si="2"/>
        <v>0.6504127666666667</v>
      </c>
      <c r="H10" s="5">
        <f t="shared" si="0"/>
        <v>429.272426</v>
      </c>
    </row>
    <row r="11" spans="1:8" x14ac:dyDescent="0.25">
      <c r="A11" s="28" t="s">
        <v>14</v>
      </c>
      <c r="B11" s="29"/>
      <c r="C11" s="29"/>
      <c r="D11" s="29"/>
      <c r="E11" s="29"/>
      <c r="F11" s="29"/>
      <c r="G11" s="30"/>
      <c r="H11" s="9">
        <f>SUM(H6:H10)</f>
        <v>73751.046694600009</v>
      </c>
    </row>
    <row r="12" spans="1:8" x14ac:dyDescent="0.25">
      <c r="A12" s="28" t="s">
        <v>15</v>
      </c>
      <c r="B12" s="29"/>
      <c r="C12" s="29"/>
      <c r="D12" s="29"/>
      <c r="E12" s="29"/>
      <c r="F12" s="29"/>
      <c r="G12" s="30"/>
      <c r="H12" s="10">
        <v>105</v>
      </c>
    </row>
    <row r="13" spans="1:8" x14ac:dyDescent="0.25">
      <c r="A13" s="31" t="s">
        <v>16</v>
      </c>
      <c r="B13" s="31"/>
      <c r="C13" s="31"/>
      <c r="D13" s="31"/>
      <c r="E13" s="31"/>
      <c r="F13" s="31"/>
      <c r="G13" s="31"/>
      <c r="H13" s="9">
        <f>H11/12/H12</f>
        <v>58.532576741746041</v>
      </c>
    </row>
    <row r="14" spans="1:8" x14ac:dyDescent="0.25">
      <c r="A14" s="32" t="s">
        <v>17</v>
      </c>
      <c r="B14" s="32"/>
      <c r="C14" s="32"/>
      <c r="D14" s="32"/>
      <c r="E14" s="32"/>
      <c r="F14" s="32"/>
      <c r="G14" s="32"/>
      <c r="H14" s="32"/>
    </row>
  </sheetData>
  <sheetProtection algorithmName="SHA-512" hashValue="jmBFUpYejZ2ayydHWEWLKo97W1YD7C0aq8dCELu8wfAc/uS/7XM8Q8zWFbsOvNUGilv4bsNSImbUrHtR3IOeTQ==" saltValue="RDOW2cjA6fnGv7BlVn9Gpw==" spinCount="100000" sheet="1" objects="1" scenarios="1"/>
  <mergeCells count="5">
    <mergeCell ref="A2:H4"/>
    <mergeCell ref="A11:G11"/>
    <mergeCell ref="A12:G12"/>
    <mergeCell ref="A13:G13"/>
    <mergeCell ref="A14:H14"/>
  </mergeCells>
  <pageMargins left="0.511811024" right="0.511811024" top="0.78740157499999996" bottom="0.78740157499999996" header="0.31496062000000002" footer="0.31496062000000002"/>
  <pageSetup paperSize="9" scale="56" orientation="portrait" horizontalDpi="0" verticalDpi="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2"/>
  <sheetViews>
    <sheetView topLeftCell="F10" workbookViewId="0">
      <selection activeCell="D7" sqref="D7:E7"/>
    </sheetView>
  </sheetViews>
  <sheetFormatPr defaultRowHeight="15" x14ac:dyDescent="0.25"/>
  <cols>
    <col min="5" max="5" width="99.7109375" customWidth="1"/>
  </cols>
  <sheetData>
    <row r="2" spans="1:19" x14ac:dyDescent="0.25">
      <c r="A2" s="40" t="s">
        <v>19</v>
      </c>
      <c r="B2" s="41"/>
      <c r="C2" s="41"/>
      <c r="D2" s="41"/>
      <c r="E2" s="41"/>
      <c r="F2" s="41"/>
      <c r="G2" s="41"/>
      <c r="H2" s="41"/>
      <c r="I2" s="41"/>
      <c r="J2" s="41"/>
      <c r="K2" s="41"/>
      <c r="L2" s="41"/>
      <c r="M2" s="41"/>
      <c r="N2" s="41"/>
      <c r="O2" s="41"/>
      <c r="P2" s="41"/>
      <c r="Q2" s="41"/>
      <c r="R2" s="41"/>
      <c r="S2" s="41"/>
    </row>
    <row r="3" spans="1:19" x14ac:dyDescent="0.25">
      <c r="A3" s="42" t="s">
        <v>0</v>
      </c>
      <c r="B3" s="42" t="s">
        <v>20</v>
      </c>
      <c r="C3" s="43" t="s">
        <v>2</v>
      </c>
      <c r="D3" s="44" t="s">
        <v>21</v>
      </c>
      <c r="E3" s="44"/>
      <c r="F3" s="44"/>
      <c r="G3" s="44"/>
      <c r="H3" s="37" t="s">
        <v>22</v>
      </c>
      <c r="I3" s="37"/>
      <c r="J3" s="37"/>
      <c r="K3" s="37"/>
      <c r="L3" s="37"/>
      <c r="M3" s="37"/>
      <c r="N3" s="37"/>
      <c r="O3" s="37"/>
      <c r="P3" s="11"/>
      <c r="Q3" s="11"/>
      <c r="R3" s="37" t="s">
        <v>23</v>
      </c>
      <c r="S3" s="37" t="s">
        <v>24</v>
      </c>
    </row>
    <row r="4" spans="1:19" x14ac:dyDescent="0.25">
      <c r="A4" s="42"/>
      <c r="B4" s="42"/>
      <c r="C4" s="43"/>
      <c r="D4" s="44"/>
      <c r="E4" s="44"/>
      <c r="F4" s="44"/>
      <c r="G4" s="44"/>
      <c r="H4" s="37" t="s">
        <v>25</v>
      </c>
      <c r="I4" s="37"/>
      <c r="J4" s="37"/>
      <c r="K4" s="37" t="s">
        <v>26</v>
      </c>
      <c r="L4" s="37" t="s">
        <v>27</v>
      </c>
      <c r="M4" s="37" t="s">
        <v>28</v>
      </c>
      <c r="N4" s="37" t="s">
        <v>29</v>
      </c>
      <c r="O4" s="37" t="s">
        <v>30</v>
      </c>
      <c r="P4" s="38" t="s">
        <v>31</v>
      </c>
      <c r="Q4" s="38" t="s">
        <v>32</v>
      </c>
      <c r="R4" s="37"/>
      <c r="S4" s="37"/>
    </row>
    <row r="5" spans="1:19" ht="22.5" x14ac:dyDescent="0.25">
      <c r="A5" s="42"/>
      <c r="B5" s="42"/>
      <c r="C5" s="43"/>
      <c r="D5" s="44"/>
      <c r="E5" s="44"/>
      <c r="F5" s="44"/>
      <c r="G5" s="44"/>
      <c r="H5" s="12" t="s">
        <v>33</v>
      </c>
      <c r="I5" s="13" t="s">
        <v>34</v>
      </c>
      <c r="J5" s="14" t="s">
        <v>35</v>
      </c>
      <c r="K5" s="37"/>
      <c r="L5" s="37"/>
      <c r="M5" s="37"/>
      <c r="N5" s="37"/>
      <c r="O5" s="37"/>
      <c r="P5" s="39"/>
      <c r="Q5" s="39"/>
      <c r="R5" s="37"/>
      <c r="S5" s="37"/>
    </row>
    <row r="6" spans="1:19" ht="51" customHeight="1" x14ac:dyDescent="0.25">
      <c r="A6" s="15">
        <v>1</v>
      </c>
      <c r="B6" s="2">
        <v>660</v>
      </c>
      <c r="C6" s="6">
        <v>653870</v>
      </c>
      <c r="D6" s="34" t="s">
        <v>8</v>
      </c>
      <c r="E6" s="34"/>
      <c r="F6" s="16"/>
      <c r="G6" s="16"/>
      <c r="H6" s="17" t="s">
        <v>9</v>
      </c>
      <c r="I6" s="17" t="s">
        <v>9</v>
      </c>
      <c r="J6" s="17" t="s">
        <v>9</v>
      </c>
      <c r="K6" s="17" t="s">
        <v>9</v>
      </c>
      <c r="L6" s="17" t="s">
        <v>9</v>
      </c>
      <c r="M6" s="17">
        <f>(5*B6)*1.015902</f>
        <v>3352.4766000000004</v>
      </c>
      <c r="N6" s="17" t="s">
        <v>9</v>
      </c>
      <c r="O6" s="17" t="s">
        <v>9</v>
      </c>
      <c r="P6" s="18">
        <f>B6*2.16</f>
        <v>1425.6000000000001</v>
      </c>
      <c r="Q6" s="18"/>
      <c r="R6" s="19">
        <f>S6/B6</f>
        <v>3.6197550000000001</v>
      </c>
      <c r="S6" s="20">
        <f>AVERAGE(H6:Q6)</f>
        <v>2389.0383000000002</v>
      </c>
    </row>
    <row r="7" spans="1:19" ht="154.5" customHeight="1" x14ac:dyDescent="0.25">
      <c r="A7" s="6">
        <v>2</v>
      </c>
      <c r="B7" s="6">
        <v>55</v>
      </c>
      <c r="C7" s="20" t="s">
        <v>9</v>
      </c>
      <c r="D7" s="35" t="s">
        <v>36</v>
      </c>
      <c r="E7" s="35"/>
      <c r="F7" s="21"/>
      <c r="G7" s="21"/>
      <c r="H7" s="17" t="s">
        <v>9</v>
      </c>
      <c r="I7" s="17" t="s">
        <v>9</v>
      </c>
      <c r="J7" s="17" t="s">
        <v>9</v>
      </c>
      <c r="K7" s="17" t="s">
        <v>9</v>
      </c>
      <c r="L7" s="17">
        <f>(3650*B7)*1.015902</f>
        <v>203942.32650000002</v>
      </c>
      <c r="M7" s="17">
        <f>(920*B7)*1.015902</f>
        <v>51404.641200000005</v>
      </c>
      <c r="N7" s="17" t="s">
        <v>9</v>
      </c>
      <c r="O7" s="17" t="s">
        <v>9</v>
      </c>
      <c r="P7" s="17"/>
      <c r="Q7" s="18">
        <f>B7*2287.37</f>
        <v>125805.34999999999</v>
      </c>
      <c r="R7" s="19">
        <f>S7/B7</f>
        <v>2310.0140466666667</v>
      </c>
      <c r="S7" s="20">
        <f>AVERAGE(H7:Q7)</f>
        <v>127050.77256666667</v>
      </c>
    </row>
    <row r="8" spans="1:19" ht="121.5" customHeight="1" x14ac:dyDescent="0.25">
      <c r="A8" s="6">
        <v>3</v>
      </c>
      <c r="B8" s="6">
        <v>55</v>
      </c>
      <c r="C8" s="20" t="s">
        <v>9</v>
      </c>
      <c r="D8" s="35" t="s">
        <v>37</v>
      </c>
      <c r="E8" s="35"/>
      <c r="F8" s="21"/>
      <c r="G8" s="21"/>
      <c r="H8" s="17" t="s">
        <v>9</v>
      </c>
      <c r="I8" s="17" t="s">
        <v>9</v>
      </c>
      <c r="J8" s="17">
        <f>(3720*B8)*1.015902</f>
        <v>207853.54920000001</v>
      </c>
      <c r="K8" s="17">
        <f>(3600*B8)*1.015902</f>
        <v>201148.59600000002</v>
      </c>
      <c r="L8" s="17" t="s">
        <v>9</v>
      </c>
      <c r="M8" s="17">
        <f>(2720*B8)*1.015902</f>
        <v>151978.93920000002</v>
      </c>
      <c r="N8" s="17" t="s">
        <v>9</v>
      </c>
      <c r="O8" s="17" t="s">
        <v>9</v>
      </c>
      <c r="P8" s="17"/>
      <c r="Q8" s="18">
        <f>B8*3304.23</f>
        <v>181732.65</v>
      </c>
      <c r="R8" s="19">
        <f>S8/B8</f>
        <v>3375.9715200000005</v>
      </c>
      <c r="S8" s="20">
        <f>AVERAGE(H8:Q8)</f>
        <v>185678.43360000002</v>
      </c>
    </row>
    <row r="9" spans="1:19" ht="74.25" customHeight="1" x14ac:dyDescent="0.25">
      <c r="A9" s="6">
        <v>4</v>
      </c>
      <c r="B9" s="6">
        <v>55</v>
      </c>
      <c r="C9" s="20" t="s">
        <v>9</v>
      </c>
      <c r="D9" s="35" t="s">
        <v>38</v>
      </c>
      <c r="E9" s="35"/>
      <c r="F9" s="21"/>
      <c r="G9" s="21"/>
      <c r="H9" s="17">
        <f>(1089.9*B9)*1.015902</f>
        <v>60897.737439000011</v>
      </c>
      <c r="I9" s="17">
        <f>(979*B9)*1.015902</f>
        <v>54701.243190000001</v>
      </c>
      <c r="J9" s="17" t="s">
        <v>9</v>
      </c>
      <c r="K9" s="17" t="s">
        <v>9</v>
      </c>
      <c r="L9" s="17" t="s">
        <v>9</v>
      </c>
      <c r="M9" s="17" t="s">
        <v>9</v>
      </c>
      <c r="N9" s="17" t="s">
        <v>9</v>
      </c>
      <c r="O9" s="17" t="s">
        <v>9</v>
      </c>
      <c r="P9" s="17"/>
      <c r="Q9" s="18">
        <f>B9*706.78</f>
        <v>38872.9</v>
      </c>
      <c r="R9" s="19">
        <f>S9/B9</f>
        <v>936.19321593333348</v>
      </c>
      <c r="S9" s="20">
        <f>AVERAGE(H9:Q9)</f>
        <v>51490.626876333343</v>
      </c>
    </row>
    <row r="10" spans="1:19" ht="63" customHeight="1" x14ac:dyDescent="0.25">
      <c r="A10" s="6">
        <v>5</v>
      </c>
      <c r="B10" s="6">
        <v>55</v>
      </c>
      <c r="C10" s="20" t="s">
        <v>39</v>
      </c>
      <c r="D10" s="35" t="s">
        <v>40</v>
      </c>
      <c r="E10" s="35"/>
      <c r="F10" s="22"/>
      <c r="G10" s="22"/>
      <c r="H10" s="19" t="s">
        <v>9</v>
      </c>
      <c r="I10" s="19" t="s">
        <v>9</v>
      </c>
      <c r="J10" s="19">
        <f>(65*B10)*1.015902</f>
        <v>3631.8496500000001</v>
      </c>
      <c r="K10" s="19">
        <f>(35*B10)*1.015902</f>
        <v>1955.6113500000001</v>
      </c>
      <c r="L10" s="17" t="s">
        <v>9</v>
      </c>
      <c r="M10" s="19">
        <f>(55*B10)*1.015902</f>
        <v>3073.1035500000003</v>
      </c>
      <c r="N10" s="19">
        <f>(22*B10)*1.015902</f>
        <v>1229.2414200000001</v>
      </c>
      <c r="O10" s="19">
        <f>(21*B10)*1.015902</f>
        <v>1173.36681</v>
      </c>
      <c r="P10" s="19"/>
      <c r="Q10" s="23">
        <f>B10*33</f>
        <v>1815</v>
      </c>
      <c r="R10" s="19">
        <f>S10/B10</f>
        <v>39.024766</v>
      </c>
      <c r="S10" s="20">
        <f>AVERAGE(H10:Q10)</f>
        <v>2146.36213</v>
      </c>
    </row>
    <row r="11" spans="1:19" ht="112.5" customHeight="1" x14ac:dyDescent="0.25">
      <c r="A11" s="36" t="s">
        <v>41</v>
      </c>
      <c r="B11" s="36"/>
      <c r="C11" s="36"/>
      <c r="D11" s="36"/>
      <c r="E11" s="36"/>
      <c r="F11" s="36"/>
      <c r="G11" s="36"/>
      <c r="H11" s="36"/>
      <c r="I11" s="36"/>
      <c r="J11" s="36"/>
      <c r="K11" s="36"/>
      <c r="L11" s="36"/>
      <c r="M11" s="36"/>
      <c r="N11" s="36"/>
      <c r="O11" s="36"/>
      <c r="P11" s="24"/>
      <c r="Q11" s="24"/>
      <c r="R11" s="25" t="s">
        <v>42</v>
      </c>
      <c r="S11" s="26">
        <f>SUM(S6:S10)</f>
        <v>368755.23347300006</v>
      </c>
    </row>
    <row r="12" spans="1:19" x14ac:dyDescent="0.25">
      <c r="A12" s="33" t="s">
        <v>43</v>
      </c>
      <c r="B12" s="33"/>
      <c r="C12" s="33"/>
      <c r="D12" s="33"/>
      <c r="E12" s="33"/>
      <c r="F12" s="33"/>
      <c r="G12" s="33"/>
      <c r="H12" s="33"/>
      <c r="I12" s="33"/>
      <c r="J12" s="33"/>
      <c r="K12" s="33"/>
      <c r="L12" s="33"/>
      <c r="M12" s="33"/>
      <c r="N12" s="33"/>
      <c r="O12" s="33"/>
      <c r="P12" s="33"/>
      <c r="Q12" s="33"/>
      <c r="R12" s="33"/>
      <c r="S12" s="33"/>
    </row>
  </sheetData>
  <mergeCells count="23">
    <mergeCell ref="Q4:Q5"/>
    <mergeCell ref="A2:S2"/>
    <mergeCell ref="A3:A5"/>
    <mergeCell ref="B3:B5"/>
    <mergeCell ref="C3:C5"/>
    <mergeCell ref="D3:G5"/>
    <mergeCell ref="H3:O3"/>
    <mergeCell ref="R3:R5"/>
    <mergeCell ref="S3:S5"/>
    <mergeCell ref="H4:J4"/>
    <mergeCell ref="K4:K5"/>
    <mergeCell ref="L4:L5"/>
    <mergeCell ref="M4:M5"/>
    <mergeCell ref="N4:N5"/>
    <mergeCell ref="O4:O5"/>
    <mergeCell ref="P4:P5"/>
    <mergeCell ref="A12:S12"/>
    <mergeCell ref="D6:E6"/>
    <mergeCell ref="D7:E7"/>
    <mergeCell ref="D8:E8"/>
    <mergeCell ref="D9:E9"/>
    <mergeCell ref="D10:E10"/>
    <mergeCell ref="A11:O1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Equipamentos</vt:lpstr>
      <vt:lpstr>MAPA DE ANÁLISE</vt:lpstr>
    </vt:vector>
  </TitlesOfParts>
  <Company>Ministério Público do Estado de Minas Gerais - MPMG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REGINA RIBEIRO</dc:creator>
  <cp:lastModifiedBy>Juliana Silva Teixeira</cp:lastModifiedBy>
  <dcterms:created xsi:type="dcterms:W3CDTF">2016-12-20T15:25:16Z</dcterms:created>
  <dcterms:modified xsi:type="dcterms:W3CDTF">2017-06-07T14:32:38Z</dcterms:modified>
</cp:coreProperties>
</file>